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afiq Aidi\OneDrive\Documents\intern EGNC\"/>
    </mc:Choice>
  </mc:AlternateContent>
  <xr:revisionPtr revIDLastSave="0" documentId="8_{4400154C-55F4-4021-81E0-A73B544B1A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6.9" sheetId="1" r:id="rId1"/>
  </sheets>
  <definedNames>
    <definedName name="_xlnm.Print_Area" localSheetId="0">'6.9'!$A$1:$F$66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F42" i="1" s="1"/>
  <c r="E45" i="1"/>
  <c r="D45" i="1"/>
  <c r="C45" i="1"/>
  <c r="B45" i="1"/>
  <c r="D42" i="1"/>
  <c r="C42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E23" i="1" s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3" i="1"/>
  <c r="D23" i="1"/>
  <c r="C23" i="1"/>
  <c r="B23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F13" i="1" s="1"/>
  <c r="E14" i="1"/>
  <c r="E13" i="1" s="1"/>
  <c r="E8" i="1" s="1"/>
  <c r="E61" i="1" s="1"/>
  <c r="D14" i="1"/>
  <c r="D13" i="1" s="1"/>
  <c r="C14" i="1"/>
  <c r="C13" i="1" s="1"/>
  <c r="B14" i="1"/>
  <c r="B13" i="1"/>
  <c r="F12" i="1"/>
  <c r="E12" i="1"/>
  <c r="C12" i="1"/>
  <c r="B12" i="1"/>
  <c r="F11" i="1"/>
  <c r="E11" i="1"/>
  <c r="D11" i="1"/>
  <c r="C11" i="1"/>
  <c r="B11" i="1"/>
  <c r="F10" i="1"/>
  <c r="F8" i="1" s="1"/>
  <c r="E10" i="1"/>
  <c r="D10" i="1"/>
  <c r="C10" i="1"/>
  <c r="B10" i="1"/>
  <c r="D8" i="1"/>
  <c r="C8" i="1"/>
  <c r="B8" i="1"/>
  <c r="F61" i="1" l="1"/>
</calcChain>
</file>

<file path=xl/sharedStrings.xml><?xml version="1.0" encoding="utf-8"?>
<sst xmlns="http://schemas.openxmlformats.org/spreadsheetml/2006/main" count="57" uniqueCount="57">
  <si>
    <t>6.9   Import Mengikut Negara Asal</t>
  </si>
  <si>
    <t xml:space="preserve">       Import By Country Of Origin</t>
  </si>
  <si>
    <r>
      <t xml:space="preserve">BND Juta / </t>
    </r>
    <r>
      <rPr>
        <i/>
        <sz val="10"/>
        <rFont val="Tahoma"/>
        <family val="2"/>
      </rPr>
      <t>Million</t>
    </r>
  </si>
  <si>
    <t>Negara Asal</t>
  </si>
  <si>
    <t>Country Of Origin</t>
  </si>
  <si>
    <t>ASEAN :</t>
  </si>
  <si>
    <t>Cambodia</t>
  </si>
  <si>
    <t>Indonesia</t>
  </si>
  <si>
    <t>Laos</t>
  </si>
  <si>
    <t>-</t>
  </si>
  <si>
    <t>Malaysia</t>
  </si>
  <si>
    <t>Peninsular</t>
  </si>
  <si>
    <t>Sabah</t>
  </si>
  <si>
    <t>Sarawak</t>
  </si>
  <si>
    <t>Myanmar</t>
  </si>
  <si>
    <t>Philippines</t>
  </si>
  <si>
    <t>Singapore</t>
  </si>
  <si>
    <t>Thailand</t>
  </si>
  <si>
    <t>Viet Nam</t>
  </si>
  <si>
    <t>PERSEKUTUAN EROPAH :</t>
  </si>
  <si>
    <t>EUROPEAN UNION :</t>
  </si>
  <si>
    <t>Austria</t>
  </si>
  <si>
    <t>Belgium</t>
  </si>
  <si>
    <t>Denmark</t>
  </si>
  <si>
    <t>Finland</t>
  </si>
  <si>
    <t>France</t>
  </si>
  <si>
    <t xml:space="preserve">Germany 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</si>
  <si>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</si>
  <si>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</si>
  <si>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</si>
  <si>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</si>
  <si>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</si>
  <si>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</si>
  <si>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</si>
  <si>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</si>
  <si>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United Kingdom</t>
  </si>
  <si>
    <t>LAIN-LAIN :</t>
  </si>
  <si>
    <t>OTHERS :</t>
  </si>
  <si>
    <t>Australia</t>
  </si>
  <si>
    <t>Brazil</t>
  </si>
  <si>
    <t>Canada</t>
  </si>
  <si>
    <t>China</t>
  </si>
  <si>
    <t>Hong Kong SAR</t>
  </si>
  <si>
    <t>India</t>
  </si>
  <si>
    <t>Japan</t>
  </si>
  <si>
    <t xml:space="preserve">Rep. of Korea </t>
  </si>
  <si>
    <t>New Zealand</t>
  </si>
  <si>
    <t>Switzerland</t>
  </si>
  <si>
    <t>Taiwan</t>
  </si>
  <si>
    <t>United Arab Emirates</t>
  </si>
  <si>
    <t>U.S.A</t>
  </si>
  <si>
    <t>Lain-lain Negeri</t>
  </si>
  <si>
    <t>Other Countries</t>
  </si>
  <si>
    <t>Jumlah</t>
  </si>
  <si>
    <t>Total</t>
  </si>
  <si>
    <t>Sumber  :   Jabatan Perancangan dan Kemajuan Ekonomi, Jabatan Perdana Menteri</t>
  </si>
  <si>
    <t>Source   :   Department of Economic Planning and Development, Prime Minister`s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</si>
</sst>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i/>
      <sz val="12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sz val="10"/>
      <name val="Arial"/>
    </font>
    <font>
      <i/>
      <sz val="12"/>
      <name val="Tahoma"/>
      <family val="2"/>
    </font>
    <font>
      <sz val="10"/>
      <name val="Arial"/>
      <family val="2"/>
    </font>
    <font>
      <sz val="11"/>
      <color indexed="8"/>
      <name val="Tahoma"/>
      <family val="2"/>
    </font>
    <font>
      <sz val="11"/>
      <name val="Tahoma"/>
      <family val="2"/>
    </font>
    <font>
      <i/>
      <sz val="11"/>
      <color indexed="8"/>
      <name val="Tahoma"/>
      <family val="2"/>
    </font>
    <font>
      <sz val="16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/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2" fillId="0" borderId="0" xfId="2" applyFont="1"/>
    <xf numFmtId="0" fontId="5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indent="1"/>
    </xf>
    <xf numFmtId="4" fontId="2" fillId="0" borderId="0" xfId="1" applyNumberFormat="1" applyFont="1" applyAlignment="1">
      <alignment horizontal="right" vertical="center"/>
    </xf>
    <xf numFmtId="0" fontId="3" fillId="0" borderId="0" xfId="2" applyFont="1" applyAlignment="1">
      <alignment horizontal="left" vertical="center" indent="2"/>
    </xf>
    <xf numFmtId="4" fontId="3" fillId="0" borderId="0" xfId="1" quotePrefix="1" applyNumberFormat="1" applyFont="1" applyAlignment="1">
      <alignment horizontal="right" vertical="center"/>
    </xf>
    <xf numFmtId="2" fontId="3" fillId="0" borderId="0" xfId="2" applyNumberFormat="1" applyFont="1" applyAlignment="1">
      <alignment horizontal="right" vertical="center"/>
    </xf>
    <xf numFmtId="2" fontId="3" fillId="0" borderId="0" xfId="2" applyNumberFormat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left" vertical="center" indent="4"/>
    </xf>
    <xf numFmtId="4" fontId="8" fillId="0" borderId="0" xfId="1" quotePrefix="1" applyNumberFormat="1" applyFont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 indent="1"/>
    </xf>
    <xf numFmtId="4" fontId="2" fillId="0" borderId="0" xfId="2" applyNumberFormat="1" applyFont="1" applyAlignment="1">
      <alignment vertical="center"/>
    </xf>
    <xf numFmtId="0" fontId="8" fillId="0" borderId="0" xfId="2" applyFont="1" applyAlignment="1">
      <alignment horizontal="left" vertical="center" indent="2"/>
    </xf>
    <xf numFmtId="39" fontId="3" fillId="0" borderId="0" xfId="2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10" fillId="0" borderId="0" xfId="2" applyFont="1" applyAlignment="1">
      <alignment vertical="center"/>
    </xf>
    <xf numFmtId="0" fontId="11" fillId="0" borderId="0" xfId="2" applyFont="1"/>
    <xf numFmtId="0" fontId="1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4" fontId="2" fillId="0" borderId="2" xfId="2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_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57"/>
  </sheetPr>
  <dimension ref="A1:L424"/>
  <sheetViews>
    <sheetView tabSelected="1" view="pageBreakPreview" zoomScaleNormal="100" zoomScaleSheetLayoutView="100" workbookViewId="0">
      <selection sqref="A1:F1"/>
    </sheetView>
  </sheetViews>
  <sheetFormatPr defaultColWidth="11.1796875" defaultRowHeight="15" x14ac:dyDescent="0.3"/>
  <cols>
    <col min="1" max="1" width="36.81640625" style="3" customWidth="1"/>
    <col min="2" max="6" width="16.26953125" style="3" customWidth="1"/>
    <col min="7" max="7" width="15" style="3" customWidth="1"/>
    <col min="8" max="16384" width="11.1796875" style="3"/>
  </cols>
  <sheetData>
    <row r="1" spans="1:12" ht="19" customHeight="1" x14ac:dyDescent="0.3">
      <c r="A1" s="43" t="s">
        <v>0</v>
      </c>
      <c r="B1" s="43"/>
      <c r="C1" s="43"/>
      <c r="D1" s="43"/>
      <c r="E1" s="43"/>
      <c r="F1" s="43"/>
      <c r="G1" s="1"/>
      <c r="H1" s="2"/>
      <c r="I1" s="2"/>
      <c r="J1" s="2"/>
      <c r="K1" s="2"/>
      <c r="L1" s="2"/>
    </row>
    <row r="2" spans="1:12" ht="19" customHeight="1" x14ac:dyDescent="0.3">
      <c r="A2" s="44" t="s">
        <v>1</v>
      </c>
      <c r="B2" s="44"/>
      <c r="C2" s="44"/>
      <c r="D2" s="44"/>
      <c r="E2" s="44"/>
      <c r="F2" s="44"/>
      <c r="G2" s="5"/>
      <c r="H2" s="2"/>
      <c r="I2" s="2"/>
      <c r="J2" s="2"/>
      <c r="K2" s="2"/>
      <c r="L2" s="2"/>
    </row>
    <row r="3" spans="1:12" ht="9" customHeight="1" x14ac:dyDescent="0.3">
      <c r="A3" s="4"/>
      <c r="B3" s="4"/>
      <c r="C3" s="4"/>
      <c r="D3" s="4"/>
      <c r="E3" s="4"/>
      <c r="F3" s="5"/>
      <c r="G3" s="5"/>
      <c r="H3" s="2"/>
      <c r="I3" s="2"/>
      <c r="J3" s="2"/>
      <c r="K3" s="2"/>
      <c r="L3" s="2"/>
    </row>
    <row r="4" spans="1:12" s="8" customFormat="1" ht="15" customHeight="1" x14ac:dyDescent="0.3">
      <c r="A4" s="6"/>
      <c r="B4" s="7"/>
      <c r="C4" s="7"/>
      <c r="D4" s="7"/>
      <c r="F4" s="9" t="s">
        <v>2</v>
      </c>
      <c r="G4" s="10"/>
      <c r="H4" s="11"/>
      <c r="I4" s="11"/>
      <c r="J4" s="11"/>
      <c r="K4" s="11"/>
      <c r="L4" s="11"/>
    </row>
    <row r="5" spans="1:12" ht="17.149999999999999" customHeight="1" x14ac:dyDescent="0.3">
      <c r="A5" s="12" t="s">
        <v>3</v>
      </c>
      <c r="B5" s="45">
        <v>2009</v>
      </c>
      <c r="C5" s="45">
        <v>2010</v>
      </c>
      <c r="D5" s="45">
        <v>2011</v>
      </c>
      <c r="E5" s="45">
        <v>2012</v>
      </c>
      <c r="F5" s="45">
        <v>2013</v>
      </c>
      <c r="G5" s="2"/>
      <c r="H5" s="2"/>
      <c r="I5" s="2"/>
      <c r="J5" s="2"/>
      <c r="K5" s="2"/>
      <c r="L5" s="2"/>
    </row>
    <row r="6" spans="1:12" ht="17.149999999999999" customHeight="1" x14ac:dyDescent="0.3">
      <c r="A6" s="13" t="s">
        <v>4</v>
      </c>
      <c r="B6" s="46"/>
      <c r="C6" s="46"/>
      <c r="D6" s="46"/>
      <c r="E6" s="46"/>
      <c r="F6" s="46"/>
      <c r="G6" s="2"/>
      <c r="H6" s="2"/>
      <c r="I6" s="2"/>
      <c r="J6" s="2"/>
      <c r="K6" s="2"/>
      <c r="L6" s="2"/>
    </row>
    <row r="7" spans="1:12" ht="7" customHeight="1" x14ac:dyDescent="0.3">
      <c r="A7" s="14"/>
      <c r="B7" s="7"/>
      <c r="C7" s="7"/>
      <c r="D7" s="7"/>
      <c r="E7" s="7"/>
      <c r="F7" s="2"/>
      <c r="G7" s="2"/>
      <c r="H7" s="2"/>
      <c r="I7" s="2"/>
      <c r="J7" s="2"/>
      <c r="K7" s="2"/>
      <c r="L7" s="2"/>
    </row>
    <row r="8" spans="1:12" ht="17.149999999999999" customHeight="1" x14ac:dyDescent="0.3">
      <c r="A8" s="15" t="s">
        <v>5</v>
      </c>
      <c r="B8" s="16">
        <f>1808446268/1000000</f>
        <v>1808.4462679999999</v>
      </c>
      <c r="C8" s="16">
        <f>1768760877/1000000</f>
        <v>1768.7608769999999</v>
      </c>
      <c r="D8" s="16">
        <f>2025984629/1000000</f>
        <v>2025.984629</v>
      </c>
      <c r="E8" s="16">
        <f>E10+E11+E12+E13+E17+E18+E19+E20+E21</f>
        <v>2328.2144399999997</v>
      </c>
      <c r="F8" s="16">
        <f>F10+F11+F12+F13+F17+F18+F19+F20+F21</f>
        <v>2301.5206579999999</v>
      </c>
      <c r="G8" s="2"/>
      <c r="H8" s="2"/>
      <c r="I8" s="2"/>
      <c r="J8" s="2"/>
      <c r="K8" s="2"/>
      <c r="L8" s="2"/>
    </row>
    <row r="9" spans="1:12" ht="7" customHeight="1" x14ac:dyDescent="0.3">
      <c r="A9" s="15"/>
      <c r="B9" s="16"/>
      <c r="C9" s="16"/>
      <c r="D9" s="16"/>
      <c r="E9" s="16"/>
      <c r="F9" s="2"/>
      <c r="G9" s="2"/>
      <c r="H9" s="2"/>
      <c r="I9" s="2"/>
      <c r="J9" s="2"/>
      <c r="K9" s="2"/>
      <c r="L9" s="2"/>
    </row>
    <row r="10" spans="1:12" ht="17.149999999999999" customHeight="1" x14ac:dyDescent="0.3">
      <c r="A10" s="17" t="s">
        <v>6</v>
      </c>
      <c r="B10" s="18">
        <f>134263/1000000</f>
        <v>0.13426299999999999</v>
      </c>
      <c r="C10" s="18">
        <f>13995/1000000</f>
        <v>1.3995E-2</v>
      </c>
      <c r="D10" s="19">
        <f>12196/1000000</f>
        <v>1.2196E-2</v>
      </c>
      <c r="E10" s="19">
        <f>54452/1000000</f>
        <v>5.4452E-2</v>
      </c>
      <c r="F10" s="20">
        <f>59442/1000000</f>
        <v>5.9442000000000002E-2</v>
      </c>
      <c r="G10" s="2"/>
      <c r="H10" s="2"/>
      <c r="I10" s="2"/>
      <c r="J10" s="2"/>
      <c r="K10" s="2"/>
      <c r="L10" s="2"/>
    </row>
    <row r="11" spans="1:12" ht="17.149999999999999" customHeight="1" x14ac:dyDescent="0.3">
      <c r="A11" s="17" t="s">
        <v>7</v>
      </c>
      <c r="B11" s="18">
        <f>84231561/1000000</f>
        <v>84.231560999999999</v>
      </c>
      <c r="C11" s="18">
        <f>88276987/1000000</f>
        <v>88.276987000000005</v>
      </c>
      <c r="D11" s="19">
        <f>90685734/1000000</f>
        <v>90.685733999999997</v>
      </c>
      <c r="E11" s="19">
        <f>101834286/1000000</f>
        <v>101.83428600000001</v>
      </c>
      <c r="F11" s="20">
        <f>191931239/1000000</f>
        <v>191.93123900000001</v>
      </c>
      <c r="G11" s="2"/>
      <c r="H11" s="2"/>
      <c r="I11" s="2"/>
      <c r="J11" s="2"/>
      <c r="K11" s="2"/>
      <c r="L11" s="2"/>
    </row>
    <row r="12" spans="1:12" ht="17.149999999999999" customHeight="1" x14ac:dyDescent="0.3">
      <c r="A12" s="17" t="s">
        <v>8</v>
      </c>
      <c r="B12" s="18">
        <f>1204/1000000</f>
        <v>1.204E-3</v>
      </c>
      <c r="C12" s="18">
        <f>55455/1000000</f>
        <v>5.5454999999999997E-2</v>
      </c>
      <c r="D12" s="19" t="s">
        <v>9</v>
      </c>
      <c r="E12" s="19">
        <f>903/1000000</f>
        <v>9.0300000000000005E-4</v>
      </c>
      <c r="F12" s="20">
        <f>153/1000000</f>
        <v>1.5300000000000001E-4</v>
      </c>
      <c r="G12" s="2"/>
      <c r="H12" s="2"/>
      <c r="I12" s="2"/>
      <c r="J12" s="2"/>
      <c r="K12" s="2"/>
      <c r="L12" s="2"/>
    </row>
    <row r="13" spans="1:12" ht="17.149999999999999" customHeight="1" x14ac:dyDescent="0.3">
      <c r="A13" s="17" t="s">
        <v>10</v>
      </c>
      <c r="B13" s="21">
        <f>SUM(B14:B16)</f>
        <v>677.04645700000003</v>
      </c>
      <c r="C13" s="21">
        <f>SUM(C14:C16)</f>
        <v>816.45136500000001</v>
      </c>
      <c r="D13" s="21">
        <f>SUM(D14:D16)</f>
        <v>839.27870399999995</v>
      </c>
      <c r="E13" s="21">
        <f>SUM(E14:E16)</f>
        <v>887.00294900000006</v>
      </c>
      <c r="F13" s="21">
        <f>SUM(F14:F16)</f>
        <v>991.17003399999987</v>
      </c>
      <c r="G13" s="2"/>
      <c r="H13" s="2"/>
      <c r="I13" s="2"/>
      <c r="J13" s="2"/>
      <c r="K13" s="2"/>
      <c r="L13" s="2"/>
    </row>
    <row r="14" spans="1:12" ht="17.149999999999999" customHeight="1" x14ac:dyDescent="0.3">
      <c r="A14" s="22" t="s">
        <v>11</v>
      </c>
      <c r="B14" s="23">
        <f>572174240/1000000</f>
        <v>572.17424000000005</v>
      </c>
      <c r="C14" s="23">
        <f>683012979/1000000</f>
        <v>683.01297899999997</v>
      </c>
      <c r="D14" s="24">
        <f>687969169/1000000</f>
        <v>687.96916899999997</v>
      </c>
      <c r="E14" s="24">
        <f>734333281/1000000</f>
        <v>734.33328100000006</v>
      </c>
      <c r="F14" s="20">
        <f>814169953/1000000</f>
        <v>814.16995299999996</v>
      </c>
      <c r="G14" s="2"/>
      <c r="H14" s="2"/>
      <c r="I14" s="2"/>
      <c r="J14" s="2"/>
      <c r="K14" s="2"/>
      <c r="L14" s="2"/>
    </row>
    <row r="15" spans="1:12" ht="17.149999999999999" customHeight="1" x14ac:dyDescent="0.3">
      <c r="A15" s="22" t="s">
        <v>12</v>
      </c>
      <c r="B15" s="23">
        <f>32198715/1000000</f>
        <v>32.198715</v>
      </c>
      <c r="C15" s="23">
        <f>56326504/1000000</f>
        <v>56.326504</v>
      </c>
      <c r="D15" s="24">
        <f>64541782/1000000</f>
        <v>64.541781999999998</v>
      </c>
      <c r="E15" s="24">
        <f>61760188/1000000</f>
        <v>61.760187999999999</v>
      </c>
      <c r="F15" s="20">
        <f>66077512/1000000</f>
        <v>66.077511999999999</v>
      </c>
      <c r="G15" s="2"/>
      <c r="H15" s="2"/>
      <c r="I15" s="2"/>
      <c r="J15" s="2"/>
      <c r="K15" s="2"/>
      <c r="L15" s="2"/>
    </row>
    <row r="16" spans="1:12" ht="17.149999999999999" customHeight="1" x14ac:dyDescent="0.3">
      <c r="A16" s="22" t="s">
        <v>13</v>
      </c>
      <c r="B16" s="23">
        <f>72673502/1000000</f>
        <v>72.673501999999999</v>
      </c>
      <c r="C16" s="23">
        <f>77111882/1000000</f>
        <v>77.111881999999994</v>
      </c>
      <c r="D16" s="24">
        <f>86767753/1000000</f>
        <v>86.767752999999999</v>
      </c>
      <c r="E16" s="24">
        <f>90909480/1000000</f>
        <v>90.909480000000002</v>
      </c>
      <c r="F16" s="20">
        <f>110922569/1000000</f>
        <v>110.922569</v>
      </c>
      <c r="G16" s="2"/>
      <c r="H16" s="2"/>
      <c r="I16" s="2"/>
      <c r="J16" s="2"/>
      <c r="K16" s="2"/>
      <c r="L16" s="2"/>
    </row>
    <row r="17" spans="1:12" ht="17.149999999999999" customHeight="1" x14ac:dyDescent="0.3">
      <c r="A17" s="17" t="s">
        <v>14</v>
      </c>
      <c r="B17" s="18">
        <f>93608/1000000</f>
        <v>9.3607999999999997E-2</v>
      </c>
      <c r="C17" s="18">
        <f>137767/1000000</f>
        <v>0.137767</v>
      </c>
      <c r="D17" s="19">
        <f>430989/1000000</f>
        <v>0.43098900000000001</v>
      </c>
      <c r="E17" s="19">
        <f>190484/1000000</f>
        <v>0.19048399999999999</v>
      </c>
      <c r="F17" s="20">
        <f>1072157/1000000</f>
        <v>1.072157</v>
      </c>
      <c r="G17" s="2"/>
      <c r="H17" s="2"/>
      <c r="I17" s="2"/>
      <c r="J17" s="2"/>
      <c r="K17" s="2"/>
      <c r="L17" s="2"/>
    </row>
    <row r="18" spans="1:12" ht="17.149999999999999" customHeight="1" x14ac:dyDescent="0.3">
      <c r="A18" s="17" t="s">
        <v>15</v>
      </c>
      <c r="B18" s="18">
        <f>9038291/1000000</f>
        <v>9.0382909999999992</v>
      </c>
      <c r="C18" s="18">
        <f>9143287/1000000</f>
        <v>9.1432870000000008</v>
      </c>
      <c r="D18" s="19">
        <f>11664224/1000000</f>
        <v>11.664224000000001</v>
      </c>
      <c r="E18" s="19">
        <f>13487906/1000000</f>
        <v>13.487906000000001</v>
      </c>
      <c r="F18" s="20">
        <f>15437670/1000000</f>
        <v>15.437670000000001</v>
      </c>
      <c r="G18" s="2"/>
      <c r="H18" s="2"/>
      <c r="I18" s="2"/>
      <c r="J18" s="2"/>
      <c r="K18" s="2"/>
      <c r="L18" s="2"/>
    </row>
    <row r="19" spans="1:12" ht="17.149999999999999" customHeight="1" x14ac:dyDescent="0.3">
      <c r="A19" s="17" t="s">
        <v>16</v>
      </c>
      <c r="B19" s="18">
        <f>894063319/1000000</f>
        <v>894.06331899999998</v>
      </c>
      <c r="C19" s="18">
        <f>660435284/1000000</f>
        <v>660.43528400000002</v>
      </c>
      <c r="D19" s="19">
        <f>882811561/1000000</f>
        <v>882.81156099999998</v>
      </c>
      <c r="E19" s="19">
        <f>1051254770/1000000</f>
        <v>1051.25477</v>
      </c>
      <c r="F19" s="20">
        <f>863047835/1000000</f>
        <v>863.04783499999996</v>
      </c>
      <c r="G19" s="2"/>
      <c r="H19" s="2"/>
      <c r="I19" s="2"/>
      <c r="J19" s="2"/>
      <c r="K19" s="2"/>
      <c r="L19" s="2"/>
    </row>
    <row r="20" spans="1:12" ht="17.149999999999999" customHeight="1" x14ac:dyDescent="0.3">
      <c r="A20" s="17" t="s">
        <v>17</v>
      </c>
      <c r="B20" s="18">
        <f>138050686/1000000</f>
        <v>138.05068600000001</v>
      </c>
      <c r="C20" s="18">
        <f>185856629/1000000</f>
        <v>185.856629</v>
      </c>
      <c r="D20" s="19">
        <f>191274233/1000000</f>
        <v>191.27423300000001</v>
      </c>
      <c r="E20" s="19">
        <f>260381367/1000000</f>
        <v>260.38136700000001</v>
      </c>
      <c r="F20" s="20">
        <f>225840973/1000000</f>
        <v>225.84097299999999</v>
      </c>
      <c r="G20" s="2"/>
      <c r="H20" s="2"/>
      <c r="I20" s="2"/>
      <c r="J20" s="2"/>
      <c r="K20" s="2"/>
      <c r="L20" s="2"/>
    </row>
    <row r="21" spans="1:12" ht="17.149999999999999" customHeight="1" x14ac:dyDescent="0.3">
      <c r="A21" s="17" t="s">
        <v>18</v>
      </c>
      <c r="B21" s="18">
        <f>5786879/1000000</f>
        <v>5.7868789999999999</v>
      </c>
      <c r="C21" s="18">
        <f>8390107/1000000</f>
        <v>8.3901070000000004</v>
      </c>
      <c r="D21" s="19">
        <f>9826988/1000000</f>
        <v>9.8269880000000001</v>
      </c>
      <c r="E21" s="19">
        <f>14007323/1000000</f>
        <v>14.007323</v>
      </c>
      <c r="F21" s="20">
        <f>12961155/1000000</f>
        <v>12.961155</v>
      </c>
      <c r="G21" s="2"/>
      <c r="H21" s="2"/>
      <c r="I21" s="2"/>
      <c r="J21" s="2"/>
      <c r="K21" s="2"/>
      <c r="L21" s="2"/>
    </row>
    <row r="22" spans="1:12" ht="9" customHeight="1" x14ac:dyDescent="0.3">
      <c r="A22" s="25"/>
      <c r="B22" s="18"/>
      <c r="C22" s="18"/>
      <c r="D22" s="19"/>
      <c r="E22" s="19"/>
      <c r="F22" s="2"/>
      <c r="G22" s="2"/>
      <c r="H22" s="2"/>
      <c r="I22" s="2"/>
      <c r="J22" s="2"/>
      <c r="K22" s="2"/>
      <c r="L22" s="2"/>
    </row>
    <row r="23" spans="1:12" ht="17.149999999999999" customHeight="1" x14ac:dyDescent="0.3">
      <c r="A23" s="15" t="s">
        <v>19</v>
      </c>
      <c r="B23" s="16">
        <f>358554177/1000000</f>
        <v>358.55417699999998</v>
      </c>
      <c r="C23" s="16">
        <f>350865948/1000000</f>
        <v>350.865948</v>
      </c>
      <c r="D23" s="16">
        <f>352712460/1000000</f>
        <v>352.71246000000002</v>
      </c>
      <c r="E23" s="16">
        <f>SUM(E26:E40)</f>
        <v>425.12182800000005</v>
      </c>
      <c r="F23" s="16">
        <f>SUM(F26:F40)</f>
        <v>420.68055699999996</v>
      </c>
      <c r="G23" s="2"/>
      <c r="H23" s="2"/>
      <c r="I23" s="2"/>
      <c r="J23" s="2"/>
      <c r="K23" s="2"/>
      <c r="L23" s="2"/>
    </row>
    <row r="24" spans="1:12" ht="17.149999999999999" customHeight="1" x14ac:dyDescent="0.3">
      <c r="A24" s="26" t="s">
        <v>20</v>
      </c>
      <c r="B24" s="21"/>
      <c r="C24" s="21"/>
      <c r="D24" s="7"/>
      <c r="E24" s="7"/>
      <c r="F24" s="2"/>
      <c r="G24" s="2"/>
      <c r="H24" s="2"/>
      <c r="I24" s="2"/>
      <c r="J24" s="2"/>
      <c r="K24" s="2"/>
      <c r="L24" s="2"/>
    </row>
    <row r="25" spans="1:12" ht="7" customHeight="1" x14ac:dyDescent="0.3">
      <c r="A25" s="26"/>
      <c r="B25" s="21"/>
      <c r="C25" s="21"/>
      <c r="D25" s="7"/>
      <c r="E25" s="7"/>
      <c r="F25" s="2"/>
      <c r="G25" s="2"/>
      <c r="H25" s="2"/>
      <c r="I25" s="2"/>
      <c r="J25" s="2"/>
      <c r="K25" s="2"/>
      <c r="L25" s="2"/>
    </row>
    <row r="26" spans="1:12" ht="17.149999999999999" customHeight="1" x14ac:dyDescent="0.3">
      <c r="A26" s="17" t="s">
        <v>21</v>
      </c>
      <c r="B26" s="18">
        <f>5319090/1000000</f>
        <v>5.3190900000000001</v>
      </c>
      <c r="C26" s="18">
        <f>1792591/1000000</f>
        <v>1.792591</v>
      </c>
      <c r="D26" s="19">
        <f>3583963/1000000</f>
        <v>3.5839629999999998</v>
      </c>
      <c r="E26" s="19">
        <f>2288042/1000000</f>
        <v>2.2880419999999999</v>
      </c>
      <c r="F26" s="20">
        <f>1085931/1000000</f>
        <v>1.085931</v>
      </c>
      <c r="G26" s="2"/>
      <c r="H26" s="2"/>
      <c r="I26" s="2"/>
      <c r="J26" s="2"/>
      <c r="K26" s="2"/>
      <c r="L26" s="2"/>
    </row>
    <row r="27" spans="1:12" ht="17.149999999999999" customHeight="1" x14ac:dyDescent="0.3">
      <c r="A27" s="17" t="s">
        <v>22</v>
      </c>
      <c r="B27" s="18">
        <f>6886929/1000000</f>
        <v>6.8869290000000003</v>
      </c>
      <c r="C27" s="18">
        <f>9158252/1000000</f>
        <v>9.1582519999999992</v>
      </c>
      <c r="D27" s="19">
        <f>7761802/1000000</f>
        <v>7.7618020000000003</v>
      </c>
      <c r="E27" s="19">
        <f>9465158/1000000</f>
        <v>9.4651580000000006</v>
      </c>
      <c r="F27" s="20">
        <f>9702187/1000000</f>
        <v>9.7021870000000003</v>
      </c>
      <c r="G27" s="2"/>
      <c r="H27" s="2"/>
      <c r="I27" s="2"/>
      <c r="J27" s="2"/>
      <c r="K27" s="2"/>
      <c r="L27" s="2"/>
    </row>
    <row r="28" spans="1:12" ht="17.149999999999999" customHeight="1" x14ac:dyDescent="0.3">
      <c r="A28" s="17" t="s">
        <v>23</v>
      </c>
      <c r="B28" s="18">
        <f>14571116/1000000</f>
        <v>14.571116</v>
      </c>
      <c r="C28" s="18">
        <f>3261588/1000000</f>
        <v>3.2615880000000002</v>
      </c>
      <c r="D28" s="19">
        <f>4108043/1000000</f>
        <v>4.1080430000000003</v>
      </c>
      <c r="E28" s="19">
        <f>6538172/1000000</f>
        <v>6.5381720000000003</v>
      </c>
      <c r="F28" s="20">
        <f>7582332/1000000</f>
        <v>7.5823320000000001</v>
      </c>
      <c r="G28" s="2"/>
      <c r="H28" s="2"/>
      <c r="I28" s="2"/>
      <c r="J28" s="2"/>
      <c r="K28" s="2"/>
      <c r="L28" s="2"/>
    </row>
    <row r="29" spans="1:12" ht="17.149999999999999" customHeight="1" x14ac:dyDescent="0.3">
      <c r="A29" s="17" t="s">
        <v>24</v>
      </c>
      <c r="B29" s="18">
        <f>8351152/1000000</f>
        <v>8.3511520000000008</v>
      </c>
      <c r="C29" s="18">
        <f>8594168/1000000</f>
        <v>8.5941679999999998</v>
      </c>
      <c r="D29" s="19">
        <f>5039762/1000000</f>
        <v>5.0397619999999996</v>
      </c>
      <c r="E29" s="19">
        <f>3766779/1000000</f>
        <v>3.7667790000000001</v>
      </c>
      <c r="F29" s="20">
        <f>1638057/1000000</f>
        <v>1.6380570000000001</v>
      </c>
      <c r="G29" s="2"/>
      <c r="H29" s="2"/>
      <c r="I29" s="2"/>
      <c r="J29" s="2"/>
      <c r="K29" s="2"/>
      <c r="L29" s="2"/>
    </row>
    <row r="30" spans="1:12" ht="17.149999999999999" customHeight="1" x14ac:dyDescent="0.3">
      <c r="A30" s="17" t="s">
        <v>25</v>
      </c>
      <c r="B30" s="18">
        <f>58876251/1000000</f>
        <v>58.876251000000003</v>
      </c>
      <c r="C30" s="18">
        <f>16339851/1000000</f>
        <v>16.339850999999999</v>
      </c>
      <c r="D30" s="19">
        <f>48750714/1000000</f>
        <v>48.750714000000002</v>
      </c>
      <c r="E30" s="19">
        <f>38769308/1000000</f>
        <v>38.769308000000002</v>
      </c>
      <c r="F30" s="20">
        <f>21449090/1000000</f>
        <v>21.449090000000002</v>
      </c>
      <c r="G30" s="2"/>
      <c r="H30" s="2"/>
      <c r="I30" s="2"/>
      <c r="J30" s="2"/>
      <c r="K30" s="2"/>
      <c r="L30" s="2"/>
    </row>
    <row r="31" spans="1:12" ht="17.149999999999999" customHeight="1" x14ac:dyDescent="0.3">
      <c r="A31" s="17" t="s">
        <v>26</v>
      </c>
      <c r="B31" s="18">
        <f>84400948/1000000</f>
        <v>84.400948</v>
      </c>
      <c r="C31" s="18">
        <f>105842779/1000000</f>
        <v>105.84277899999999</v>
      </c>
      <c r="D31" s="19">
        <f>127108764/1000000</f>
        <v>127.10876399999999</v>
      </c>
      <c r="E31" s="19">
        <f>123514642/1000000</f>
        <v>123.51464199999999</v>
      </c>
      <c r="F31" s="20">
        <f>155837860/1000000</f>
        <v>155.83786000000001</v>
      </c>
      <c r="G31" s="2"/>
      <c r="H31" s="2"/>
      <c r="I31" s="2"/>
      <c r="J31" s="2"/>
      <c r="K31" s="2"/>
      <c r="L31" s="2"/>
    </row>
    <row r="32" spans="1:12" ht="17.149999999999999" customHeight="1" x14ac:dyDescent="0.3">
      <c r="A32" s="17" t="s">
        <v>27</v>
      </c>
      <c r="B32" s="18">
        <f>977724/1000000</f>
        <v>0.97772400000000004</v>
      </c>
      <c r="C32" s="18">
        <f>80681/1000000</f>
        <v>8.0681000000000003E-2</v>
      </c>
      <c r="D32" s="19">
        <f>71785/1000000</f>
        <v>7.1785000000000002E-2</v>
      </c>
      <c r="E32" s="19">
        <f>167063/1000000</f>
        <v>0.16706299999999999</v>
      </c>
      <c r="F32" s="20">
        <f>23127/1000000</f>
        <v>2.3127000000000002E-2</v>
      </c>
      <c r="G32" s="2"/>
      <c r="H32" s="2"/>
      <c r="I32" s="2"/>
      <c r="J32" s="2"/>
      <c r="K32" s="2"/>
      <c r="L32" s="2"/>
    </row>
    <row r="33" spans="1:12" ht="17.149999999999999" customHeight="1" x14ac:dyDescent="0.3">
      <c r="A33" s="17" t="s">
        <v>28</v>
      </c>
      <c r="B33" s="18">
        <f>2675843/1000000</f>
        <v>2.675843</v>
      </c>
      <c r="C33" s="18">
        <f>4229515/1000000</f>
        <v>4.2295150000000001</v>
      </c>
      <c r="D33" s="19">
        <f>4270056/1000000</f>
        <v>4.2700560000000003</v>
      </c>
      <c r="E33" s="19">
        <f>4811890/1000000</f>
        <v>4.81189</v>
      </c>
      <c r="F33" s="20">
        <f>6126732/1000000</f>
        <v>6.1267319999999996</v>
      </c>
      <c r="G33" s="2"/>
      <c r="H33" s="2"/>
      <c r="I33" s="2"/>
      <c r="J33" s="2"/>
      <c r="K33" s="2"/>
      <c r="L33" s="2"/>
    </row>
    <row r="34" spans="1:12" ht="17.149999999999999" customHeight="1" x14ac:dyDescent="0.3">
      <c r="A34" s="17" t="s">
        <v>29</v>
      </c>
      <c r="B34" s="18">
        <f>41837114/1000000</f>
        <v>41.837114</v>
      </c>
      <c r="C34" s="18">
        <f>28456997/1000000</f>
        <v>28.456997000000001</v>
      </c>
      <c r="D34" s="19">
        <f>29310309/1000000</f>
        <v>29.310309</v>
      </c>
      <c r="E34" s="19">
        <f>76590090/1000000</f>
        <v>76.590090000000004</v>
      </c>
      <c r="F34" s="20">
        <f>53416715/1000000</f>
        <v>53.416715000000003</v>
      </c>
      <c r="G34" s="2"/>
      <c r="H34" s="2"/>
      <c r="I34" s="2"/>
      <c r="J34" s="2"/>
      <c r="K34" s="2"/>
      <c r="L34" s="2"/>
    </row>
    <row r="35" spans="1:12" ht="17.149999999999999" customHeight="1" x14ac:dyDescent="0.3">
      <c r="A35" s="17" t="s">
        <v>30</v>
      </c>
      <c r="B35" s="21">
        <f>643002/1000000</f>
        <v>0.64300199999999996</v>
      </c>
      <c r="C35" s="21">
        <f>543571/1000000</f>
        <v>0.54357100000000003</v>
      </c>
      <c r="D35" s="19">
        <f>5308/1000000</f>
        <v>5.3080000000000002E-3</v>
      </c>
      <c r="E35" s="19">
        <f>30870/1000000</f>
        <v>3.0870000000000002E-2</v>
      </c>
      <c r="F35" s="20">
        <f>813819/1000000</f>
        <v>0.81381899999999996</v>
      </c>
      <c r="G35" s="2"/>
      <c r="H35" s="2"/>
      <c r="I35" s="2"/>
      <c r="J35" s="2"/>
      <c r="K35" s="2"/>
      <c r="L35" s="2"/>
    </row>
    <row r="36" spans="1:12" ht="17.149999999999999" customHeight="1" x14ac:dyDescent="0.3">
      <c r="A36" s="17" t="s">
        <v>31</v>
      </c>
      <c r="B36" s="18">
        <f>28191038/1000000</f>
        <v>28.191037999999999</v>
      </c>
      <c r="C36" s="18">
        <f>16026239/1000000</f>
        <v>16.026239</v>
      </c>
      <c r="D36" s="19">
        <f>19298565/1000000</f>
        <v>19.298565</v>
      </c>
      <c r="E36" s="19">
        <f>40271723/1000000</f>
        <v>40.271723000000001</v>
      </c>
      <c r="F36" s="20">
        <f>58163476/1000000</f>
        <v>58.163476000000003</v>
      </c>
      <c r="G36" s="2"/>
      <c r="H36" s="2"/>
      <c r="I36" s="2"/>
      <c r="J36" s="2"/>
      <c r="K36" s="2"/>
      <c r="L36" s="2"/>
    </row>
    <row r="37" spans="1:12" ht="17.149999999999999" customHeight="1" x14ac:dyDescent="0.3">
      <c r="A37" s="17" t="s">
        <v>32</v>
      </c>
      <c r="B37" s="18">
        <f>645127/1000000</f>
        <v>0.64512700000000001</v>
      </c>
      <c r="C37" s="18">
        <f>100512/1000000</f>
        <v>0.100512</v>
      </c>
      <c r="D37" s="19">
        <f>1349961/1000000</f>
        <v>1.349961</v>
      </c>
      <c r="E37" s="19">
        <f>479850/1000000</f>
        <v>0.47985</v>
      </c>
      <c r="F37" s="20">
        <f>3757304/1000000</f>
        <v>3.757304</v>
      </c>
      <c r="G37" s="2"/>
      <c r="H37" s="2"/>
      <c r="I37" s="2"/>
      <c r="J37" s="2"/>
      <c r="K37" s="2"/>
      <c r="L37" s="2"/>
    </row>
    <row r="38" spans="1:12" ht="17.149999999999999" customHeight="1" x14ac:dyDescent="0.3">
      <c r="A38" s="17" t="s">
        <v>33</v>
      </c>
      <c r="B38" s="18">
        <f>5829215/1000000</f>
        <v>5.8292149999999996</v>
      </c>
      <c r="C38" s="18">
        <f>2923418/1000000</f>
        <v>2.9234179999999999</v>
      </c>
      <c r="D38" s="19">
        <f>3013867/1000000</f>
        <v>3.0138669999999999</v>
      </c>
      <c r="E38" s="19">
        <f>4549815/1000000</f>
        <v>4.5498149999999997</v>
      </c>
      <c r="F38" s="20">
        <f>5679676/1000000</f>
        <v>5.6796759999999997</v>
      </c>
      <c r="G38" s="2"/>
      <c r="H38" s="2"/>
      <c r="I38" s="2"/>
      <c r="J38" s="2"/>
      <c r="K38" s="2"/>
      <c r="L38" s="2"/>
    </row>
    <row r="39" spans="1:12" ht="17.149999999999999" customHeight="1" x14ac:dyDescent="0.3">
      <c r="A39" s="17" t="s">
        <v>34</v>
      </c>
      <c r="B39" s="18">
        <f>3544581/1000000</f>
        <v>3.544581</v>
      </c>
      <c r="C39" s="18">
        <f>4484422/1000000</f>
        <v>4.4844220000000004</v>
      </c>
      <c r="D39" s="19">
        <f>3521976/1000000</f>
        <v>3.521976</v>
      </c>
      <c r="E39" s="19">
        <f>5031110/1000000</f>
        <v>5.03111</v>
      </c>
      <c r="F39" s="20">
        <f>3987344/1000000</f>
        <v>3.9873440000000002</v>
      </c>
      <c r="G39" s="2"/>
      <c r="H39" s="2"/>
      <c r="I39" s="2"/>
      <c r="J39" s="2"/>
      <c r="K39" s="2"/>
      <c r="L39" s="2"/>
    </row>
    <row r="40" spans="1:12" ht="17.149999999999999" customHeight="1" x14ac:dyDescent="0.3">
      <c r="A40" s="17" t="s">
        <v>35</v>
      </c>
      <c r="B40" s="18">
        <f>95805047/1000000</f>
        <v>95.805047000000002</v>
      </c>
      <c r="C40" s="18">
        <f>149031366/1000000</f>
        <v>149.03136599999999</v>
      </c>
      <c r="D40" s="19">
        <f>95517585/1000000</f>
        <v>95.517584999999997</v>
      </c>
      <c r="E40" s="19">
        <f>108847316/1000000</f>
        <v>108.84731600000001</v>
      </c>
      <c r="F40" s="20">
        <f>91416907/1000000</f>
        <v>91.416906999999995</v>
      </c>
      <c r="G40" s="2"/>
      <c r="H40" s="2"/>
      <c r="I40" s="2"/>
      <c r="J40" s="2"/>
      <c r="K40" s="2"/>
      <c r="L40" s="2"/>
    </row>
    <row r="41" spans="1:12" ht="9" customHeight="1" x14ac:dyDescent="0.3">
      <c r="A41" s="25"/>
      <c r="B41" s="18"/>
      <c r="C41" s="18"/>
      <c r="D41" s="19"/>
      <c r="E41" s="19"/>
      <c r="F41" s="2"/>
      <c r="G41" s="2"/>
      <c r="H41" s="2"/>
      <c r="I41" s="2"/>
      <c r="J41" s="2"/>
      <c r="K41" s="2"/>
      <c r="L41" s="2"/>
    </row>
    <row r="42" spans="1:12" ht="17.149999999999999" customHeight="1" x14ac:dyDescent="0.3">
      <c r="A42" s="15" t="s">
        <v>36</v>
      </c>
      <c r="B42" s="16">
        <v>1324.86</v>
      </c>
      <c r="C42" s="16">
        <f>1337649806/1000000</f>
        <v>1337.6498059999999</v>
      </c>
      <c r="D42" s="16">
        <f>2149723336/1000000</f>
        <v>2149.723336</v>
      </c>
      <c r="E42" s="16">
        <v>1701.83</v>
      </c>
      <c r="F42" s="27">
        <f>SUM(F45:F58)</f>
        <v>1798.3983589999998</v>
      </c>
      <c r="G42" s="2"/>
      <c r="H42" s="2"/>
      <c r="I42" s="2"/>
      <c r="J42" s="2"/>
      <c r="K42" s="2"/>
      <c r="L42" s="2"/>
    </row>
    <row r="43" spans="1:12" ht="17.149999999999999" customHeight="1" x14ac:dyDescent="0.3">
      <c r="A43" s="26" t="s">
        <v>37</v>
      </c>
      <c r="B43" s="21"/>
      <c r="C43" s="21"/>
      <c r="D43" s="7"/>
      <c r="E43" s="19"/>
      <c r="F43" s="2"/>
      <c r="G43" s="2"/>
      <c r="H43" s="2"/>
      <c r="I43" s="2"/>
      <c r="J43" s="2"/>
      <c r="K43" s="2"/>
      <c r="L43" s="2"/>
    </row>
    <row r="44" spans="1:12" ht="7" customHeight="1" x14ac:dyDescent="0.3">
      <c r="A44" s="26"/>
      <c r="B44" s="21"/>
      <c r="C44" s="21"/>
      <c r="D44" s="7"/>
      <c r="E44" s="7"/>
      <c r="F44" s="2"/>
      <c r="G44" s="2"/>
      <c r="H44" s="2"/>
      <c r="I44" s="2"/>
      <c r="J44" s="2"/>
      <c r="K44" s="2"/>
      <c r="L44" s="2"/>
    </row>
    <row r="45" spans="1:12" ht="17.149999999999999" customHeight="1" x14ac:dyDescent="0.3">
      <c r="A45" s="17" t="s">
        <v>38</v>
      </c>
      <c r="B45" s="18">
        <f>53238965/1000000</f>
        <v>53.238965</v>
      </c>
      <c r="C45" s="18">
        <f>66845841/1000000</f>
        <v>66.845840999999993</v>
      </c>
      <c r="D45" s="19">
        <f>60510554/1000000</f>
        <v>60.510553999999999</v>
      </c>
      <c r="E45" s="19">
        <f>62281859/1000000</f>
        <v>62.281858999999997</v>
      </c>
      <c r="F45" s="20">
        <f>63028653/1000000</f>
        <v>63.028652999999998</v>
      </c>
      <c r="G45" s="2"/>
      <c r="H45" s="2"/>
      <c r="I45" s="2"/>
      <c r="J45" s="2"/>
      <c r="K45" s="2"/>
      <c r="L45" s="2"/>
    </row>
    <row r="46" spans="1:12" ht="17.149999999999999" customHeight="1" x14ac:dyDescent="0.3">
      <c r="A46" s="17" t="s">
        <v>39</v>
      </c>
      <c r="B46" s="18">
        <f>653989/1000000</f>
        <v>0.65398900000000004</v>
      </c>
      <c r="C46" s="18">
        <f>993442/1000000</f>
        <v>0.99344200000000005</v>
      </c>
      <c r="D46" s="19">
        <f>883149/1000000</f>
        <v>0.88314899999999996</v>
      </c>
      <c r="E46" s="19">
        <f>9955613/1000000</f>
        <v>9.9556129999999996</v>
      </c>
      <c r="F46" s="20">
        <f>3111657/1000000</f>
        <v>3.1116570000000001</v>
      </c>
      <c r="G46" s="2"/>
      <c r="H46" s="2"/>
      <c r="I46" s="2"/>
      <c r="J46" s="2"/>
      <c r="K46" s="2"/>
      <c r="L46" s="2"/>
    </row>
    <row r="47" spans="1:12" ht="17.149999999999999" customHeight="1" x14ac:dyDescent="0.3">
      <c r="A47" s="17" t="s">
        <v>40</v>
      </c>
      <c r="B47" s="18">
        <f>10231172/1000000</f>
        <v>10.231172000000001</v>
      </c>
      <c r="C47" s="18">
        <f>11557798/1000000</f>
        <v>11.557798</v>
      </c>
      <c r="D47" s="19">
        <f>11094135/1000000</f>
        <v>11.094135</v>
      </c>
      <c r="E47" s="19">
        <f>15365125/1000000</f>
        <v>15.365125000000001</v>
      </c>
      <c r="F47" s="20">
        <f>11875681/1000000</f>
        <v>11.875681</v>
      </c>
      <c r="G47" s="2"/>
      <c r="H47" s="2"/>
      <c r="I47" s="2"/>
      <c r="J47" s="2"/>
      <c r="K47" s="2"/>
      <c r="L47" s="2"/>
    </row>
    <row r="48" spans="1:12" ht="17.149999999999999" customHeight="1" x14ac:dyDescent="0.3">
      <c r="A48" s="17" t="s">
        <v>41</v>
      </c>
      <c r="B48" s="18">
        <f>204141954/1000000</f>
        <v>204.141954</v>
      </c>
      <c r="C48" s="18">
        <f>271211411/1000000</f>
        <v>271.211411</v>
      </c>
      <c r="D48" s="19">
        <f>414340068/1000000</f>
        <v>414.34006799999997</v>
      </c>
      <c r="E48" s="19">
        <f>508058435/1000000</f>
        <v>508.05843499999997</v>
      </c>
      <c r="F48" s="20">
        <f>508443454/1000000</f>
        <v>508.44345399999997</v>
      </c>
      <c r="G48" s="2"/>
      <c r="H48" s="2"/>
      <c r="I48" s="2"/>
      <c r="J48" s="2"/>
      <c r="K48" s="2"/>
      <c r="L48" s="2"/>
    </row>
    <row r="49" spans="1:12" ht="17.149999999999999" customHeight="1" x14ac:dyDescent="0.3">
      <c r="A49" s="17" t="s">
        <v>42</v>
      </c>
      <c r="B49" s="18">
        <f>32990786/1000000</f>
        <v>32.990786</v>
      </c>
      <c r="C49" s="18">
        <f>39134045/1000000</f>
        <v>39.134045</v>
      </c>
      <c r="D49" s="19">
        <f>32265416/1000000</f>
        <v>32.265416000000002</v>
      </c>
      <c r="E49" s="19">
        <f>55476931/1000000</f>
        <v>55.476931</v>
      </c>
      <c r="F49" s="20">
        <f>49348106/1000000</f>
        <v>49.348106000000001</v>
      </c>
      <c r="G49" s="2"/>
      <c r="H49" s="2"/>
      <c r="I49" s="2"/>
      <c r="J49" s="2"/>
      <c r="K49" s="2"/>
      <c r="L49" s="2"/>
    </row>
    <row r="50" spans="1:12" ht="17.149999999999999" customHeight="1" x14ac:dyDescent="0.3">
      <c r="A50" s="17" t="s">
        <v>43</v>
      </c>
      <c r="B50" s="18">
        <f>39214079/1000000</f>
        <v>39.214078999999998</v>
      </c>
      <c r="C50" s="18">
        <f>31052407/1000000</f>
        <v>31.052406999999999</v>
      </c>
      <c r="D50" s="19">
        <f>36596498/1000000</f>
        <v>36.596497999999997</v>
      </c>
      <c r="E50" s="19">
        <f>42594008/1000000</f>
        <v>42.594008000000002</v>
      </c>
      <c r="F50" s="20">
        <f>44030335/1000000</f>
        <v>44.030335000000001</v>
      </c>
      <c r="G50" s="2"/>
      <c r="H50" s="2"/>
      <c r="I50" s="2"/>
      <c r="J50" s="2"/>
      <c r="K50" s="2"/>
      <c r="L50" s="2"/>
    </row>
    <row r="51" spans="1:12" ht="17.149999999999999" customHeight="1" x14ac:dyDescent="0.3">
      <c r="A51" s="17" t="s">
        <v>44</v>
      </c>
      <c r="B51" s="18">
        <f>312026986/1000000</f>
        <v>312.02698600000002</v>
      </c>
      <c r="C51" s="18">
        <f>343884322/1000000</f>
        <v>343.884322</v>
      </c>
      <c r="D51" s="19">
        <f>262009339/1000000</f>
        <v>262.00933900000001</v>
      </c>
      <c r="E51" s="19">
        <f>334771547/1000000</f>
        <v>334.771547</v>
      </c>
      <c r="F51" s="20">
        <f>261519848/1000000</f>
        <v>261.51984800000002</v>
      </c>
      <c r="G51" s="2"/>
      <c r="H51" s="2"/>
      <c r="I51" s="2"/>
      <c r="J51" s="2"/>
      <c r="K51" s="2"/>
      <c r="L51" s="2"/>
    </row>
    <row r="52" spans="1:12" ht="17.149999999999999" customHeight="1" x14ac:dyDescent="0.3">
      <c r="A52" s="17" t="s">
        <v>45</v>
      </c>
      <c r="B52" s="18">
        <f>87232694/1000000</f>
        <v>87.232693999999995</v>
      </c>
      <c r="C52" s="18">
        <f>76378328/1000000</f>
        <v>76.378327999999996</v>
      </c>
      <c r="D52" s="19">
        <f>725890230/1000000</f>
        <v>725.89022999999997</v>
      </c>
      <c r="E52" s="19">
        <f>169212366/1000000</f>
        <v>169.212366</v>
      </c>
      <c r="F52" s="20">
        <f>155654925/1000000</f>
        <v>155.65492499999999</v>
      </c>
      <c r="G52" s="2"/>
      <c r="H52" s="2"/>
      <c r="I52" s="2"/>
      <c r="J52" s="2"/>
      <c r="K52" s="2"/>
      <c r="L52" s="2"/>
    </row>
    <row r="53" spans="1:12" ht="17.149999999999999" customHeight="1" x14ac:dyDescent="0.3">
      <c r="A53" s="17" t="s">
        <v>46</v>
      </c>
      <c r="B53" s="18">
        <f>14064871/1000000</f>
        <v>14.064871</v>
      </c>
      <c r="C53" s="18">
        <f>17081741/1000000</f>
        <v>17.081741000000001</v>
      </c>
      <c r="D53" s="19">
        <f>18880893/1000000</f>
        <v>18.880893</v>
      </c>
      <c r="E53" s="19">
        <f>11348802/1000000</f>
        <v>11.348801999999999</v>
      </c>
      <c r="F53" s="20">
        <f>13147186/1000000</f>
        <v>13.147186</v>
      </c>
      <c r="G53" s="2"/>
      <c r="H53" s="2"/>
      <c r="I53" s="2"/>
      <c r="J53" s="2"/>
      <c r="K53" s="2"/>
      <c r="L53" s="2"/>
    </row>
    <row r="54" spans="1:12" ht="17.149999999999999" customHeight="1" x14ac:dyDescent="0.3">
      <c r="A54" s="17" t="s">
        <v>47</v>
      </c>
      <c r="B54" s="18">
        <f>7035482/1000000</f>
        <v>7.035482</v>
      </c>
      <c r="C54" s="18">
        <f>9110664/1000000</f>
        <v>9.1106639999999999</v>
      </c>
      <c r="D54" s="19">
        <f>12138630/1000000</f>
        <v>12.138629999999999</v>
      </c>
      <c r="E54" s="19">
        <f>13430313/1000000</f>
        <v>13.430313</v>
      </c>
      <c r="F54" s="20">
        <f>12634107/1000000</f>
        <v>12.634107</v>
      </c>
      <c r="G54" s="2"/>
      <c r="H54" s="2"/>
      <c r="I54" s="2"/>
      <c r="J54" s="2"/>
      <c r="K54" s="2"/>
      <c r="L54" s="2"/>
    </row>
    <row r="55" spans="1:12" ht="17.149999999999999" customHeight="1" x14ac:dyDescent="0.3">
      <c r="A55" s="17" t="s">
        <v>48</v>
      </c>
      <c r="B55" s="18">
        <f>57255204/1000000</f>
        <v>57.255203999999999</v>
      </c>
      <c r="C55" s="18">
        <f>64167294/1000000</f>
        <v>64.167293999999998</v>
      </c>
      <c r="D55" s="19">
        <f>71885105/1000000</f>
        <v>71.885104999999996</v>
      </c>
      <c r="E55" s="19">
        <f>62515128/1000000</f>
        <v>62.515127999999997</v>
      </c>
      <c r="F55" s="20">
        <f>48703864/1000000</f>
        <v>48.703864000000003</v>
      </c>
      <c r="G55" s="2"/>
      <c r="H55" s="2"/>
      <c r="I55" s="2"/>
      <c r="J55" s="2"/>
      <c r="K55" s="2"/>
      <c r="L55" s="2"/>
    </row>
    <row r="56" spans="1:12" ht="17.149999999999999" customHeight="1" x14ac:dyDescent="0.3">
      <c r="A56" s="17" t="s">
        <v>49</v>
      </c>
      <c r="B56" s="18">
        <f>5794890/1000000</f>
        <v>5.7948899999999997</v>
      </c>
      <c r="C56" s="18">
        <f>8086904/1000000</f>
        <v>8.0869040000000005</v>
      </c>
      <c r="D56" s="19">
        <f>5203729/1000000</f>
        <v>5.203729</v>
      </c>
      <c r="E56" s="19">
        <f>7864231/1000000</f>
        <v>7.8642310000000002</v>
      </c>
      <c r="F56" s="20">
        <f>12071141/1000000</f>
        <v>12.071141000000001</v>
      </c>
      <c r="G56" s="2"/>
      <c r="H56" s="2"/>
      <c r="I56" s="2"/>
      <c r="J56" s="2"/>
      <c r="K56" s="2"/>
      <c r="L56" s="2"/>
    </row>
    <row r="57" spans="1:12" ht="17.149999999999999" customHeight="1" x14ac:dyDescent="0.3">
      <c r="A57" s="17" t="s">
        <v>50</v>
      </c>
      <c r="B57" s="18">
        <f>453870551/1000000</f>
        <v>453.87055099999998</v>
      </c>
      <c r="C57" s="18">
        <f>335799252/1000000</f>
        <v>335.79925200000002</v>
      </c>
      <c r="D57" s="19">
        <f>445503711/1000000</f>
        <v>445.50371100000001</v>
      </c>
      <c r="E57" s="19">
        <f>348164594/1000000</f>
        <v>348.16459400000002</v>
      </c>
      <c r="F57" s="20">
        <f>539924971/1000000</f>
        <v>539.92497100000003</v>
      </c>
      <c r="G57" s="2"/>
      <c r="H57" s="2"/>
      <c r="I57" s="2"/>
      <c r="J57" s="2"/>
      <c r="K57" s="2"/>
      <c r="L57" s="2"/>
    </row>
    <row r="58" spans="1:12" ht="17.149999999999999" customHeight="1" x14ac:dyDescent="0.3">
      <c r="A58" s="17" t="s">
        <v>51</v>
      </c>
      <c r="B58" s="18">
        <f>47109490/1000000</f>
        <v>47.109490000000001</v>
      </c>
      <c r="C58" s="18">
        <f>62346355/1000000</f>
        <v>62.346355000000003</v>
      </c>
      <c r="D58" s="19">
        <f>52521879/1000000</f>
        <v>52.521878999999998</v>
      </c>
      <c r="E58" s="19">
        <f>60791234/1000000</f>
        <v>60.791234000000003</v>
      </c>
      <c r="F58" s="20">
        <f>74904431/1000000</f>
        <v>74.904431000000002</v>
      </c>
      <c r="G58" s="2"/>
      <c r="H58" s="2"/>
      <c r="I58" s="2"/>
      <c r="J58" s="2"/>
      <c r="K58" s="2"/>
      <c r="L58" s="2"/>
    </row>
    <row r="59" spans="1:12" ht="17.149999999999999" customHeight="1" x14ac:dyDescent="0.3">
      <c r="A59" s="28" t="s">
        <v>52</v>
      </c>
      <c r="B59" s="29"/>
      <c r="C59" s="29"/>
      <c r="D59" s="19"/>
      <c r="E59" s="19"/>
      <c r="F59" s="2"/>
      <c r="G59" s="2"/>
      <c r="H59" s="2"/>
      <c r="I59" s="2"/>
      <c r="J59" s="2"/>
      <c r="K59" s="2"/>
      <c r="L59" s="2"/>
    </row>
    <row r="60" spans="1:12" ht="7" customHeight="1" x14ac:dyDescent="0.3">
      <c r="A60" s="14"/>
      <c r="B60" s="29"/>
      <c r="C60" s="29"/>
      <c r="D60" s="7"/>
      <c r="E60" s="7"/>
      <c r="F60" s="2"/>
      <c r="G60" s="2"/>
      <c r="H60" s="2"/>
      <c r="I60" s="2"/>
      <c r="J60" s="2"/>
      <c r="K60" s="2"/>
      <c r="L60" s="2"/>
    </row>
    <row r="61" spans="1:12" ht="17.149999999999999" customHeight="1" x14ac:dyDescent="0.3">
      <c r="A61" s="30" t="s">
        <v>53</v>
      </c>
      <c r="B61" s="41">
        <v>3491.8615580000001</v>
      </c>
      <c r="C61" s="41">
        <v>3457.28</v>
      </c>
      <c r="D61" s="41">
        <v>4528.42</v>
      </c>
      <c r="E61" s="41">
        <f>E8+E23+E42</f>
        <v>4455.1662679999999</v>
      </c>
      <c r="F61" s="41">
        <f>F8+F23+F42</f>
        <v>4520.5995739999998</v>
      </c>
      <c r="G61" s="2"/>
      <c r="H61" s="2"/>
      <c r="I61" s="2"/>
      <c r="J61" s="2"/>
      <c r="K61" s="2"/>
      <c r="L61" s="2"/>
    </row>
    <row r="62" spans="1:12" ht="17.149999999999999" customHeight="1" x14ac:dyDescent="0.3">
      <c r="A62" s="31" t="s">
        <v>54</v>
      </c>
      <c r="B62" s="42"/>
      <c r="C62" s="42"/>
      <c r="D62" s="42"/>
      <c r="E62" s="42"/>
      <c r="F62" s="42"/>
      <c r="G62" s="2"/>
      <c r="H62" s="2"/>
      <c r="I62" s="2"/>
      <c r="J62" s="2"/>
      <c r="K62" s="2"/>
      <c r="L62" s="2"/>
    </row>
    <row r="63" spans="1:12" ht="9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s="33" customFormat="1" ht="15" customHeight="1" x14ac:dyDescent="0.3">
      <c r="A64" s="32" t="s">
        <v>55</v>
      </c>
    </row>
    <row r="65" spans="1:12" s="33" customFormat="1" ht="15" customHeight="1" x14ac:dyDescent="0.3">
      <c r="A65" s="34" t="s">
        <v>56</v>
      </c>
    </row>
    <row r="66" spans="1:12" s="38" customFormat="1" ht="5.15" customHeight="1" x14ac:dyDescent="0.25">
      <c r="A66" s="35"/>
      <c r="B66" s="36"/>
      <c r="C66" s="36"/>
      <c r="D66" s="36"/>
      <c r="E66" s="36"/>
      <c r="F66" s="37"/>
      <c r="G66" s="37"/>
      <c r="H66" s="37"/>
      <c r="I66" s="37"/>
      <c r="J66" s="37"/>
      <c r="K66" s="37"/>
      <c r="L66" s="37"/>
    </row>
    <row r="67" spans="1:12" ht="1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" customHeight="1" x14ac:dyDescent="0.3">
      <c r="A68" s="39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5" customHeight="1" x14ac:dyDescent="0.3">
      <c r="A69" s="39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5" customHeight="1" x14ac:dyDescent="0.3">
      <c r="A70" s="2"/>
      <c r="B70" s="2"/>
      <c r="C70" s="2"/>
      <c r="D70" s="2"/>
      <c r="E70" s="2"/>
      <c r="F70" s="2"/>
      <c r="G70" s="40"/>
      <c r="H70" s="2"/>
      <c r="I70" s="2"/>
      <c r="J70" s="2"/>
      <c r="K70" s="2"/>
      <c r="L70" s="2"/>
    </row>
    <row r="71" spans="1:12" ht="15" customHeight="1" x14ac:dyDescent="0.3">
      <c r="A71" s="39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</sheetData>
  <mergeCells count="12">
    <mergeCell ref="A1:F1"/>
    <mergeCell ref="A2:F2"/>
    <mergeCell ref="B5:B6"/>
    <mergeCell ref="C5:C6"/>
    <mergeCell ref="D5:D6"/>
    <mergeCell ref="E5:E6"/>
    <mergeCell ref="F5:F6"/>
    <mergeCell ref="B61:B62"/>
    <mergeCell ref="C61:C62"/>
    <mergeCell ref="D61:D62"/>
    <mergeCell ref="E61:E62"/>
    <mergeCell ref="F61:F62"/>
  </mergeCells>
  <printOptions horizontalCentered="1"/>
  <pageMargins left="0.75" right="0.75" top="0.75" bottom="1.8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6.9</vt:lpstr>
      <vt:lpstr>'6.9'!Print_Area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Adrian Bin Pg Salleh Ab Rahaman</dc:creator>
  <cp:lastModifiedBy>Nursyafiq Aidi Bin Nooralidi</cp:lastModifiedBy>
  <dcterms:created xsi:type="dcterms:W3CDTF">2014-11-20T07:12:43Z</dcterms:created>
  <dcterms:modified xsi:type="dcterms:W3CDTF">2025-12-17T06:28:11Z</dcterms:modified>
</cp:coreProperties>
</file>